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Erros tipo I e II\"/>
    </mc:Choice>
  </mc:AlternateContent>
  <bookViews>
    <workbookView xWindow="360" yWindow="12" windowWidth="7356" windowHeight="7512"/>
  </bookViews>
  <sheets>
    <sheet name="Acolhimento" sheetId="13" r:id="rId1"/>
    <sheet name="Solução Bayesiana" sheetId="12" r:id="rId2"/>
    <sheet name="Solução Freq. naturais" sheetId="14" r:id="rId3"/>
  </sheets>
  <calcPr calcId="152511"/>
</workbook>
</file>

<file path=xl/calcChain.xml><?xml version="1.0" encoding="utf-8"?>
<calcChain xmlns="http://schemas.openxmlformats.org/spreadsheetml/2006/main">
  <c r="E8" i="12" l="1"/>
  <c r="D7" i="12" l="1"/>
  <c r="C6" i="14" l="1"/>
  <c r="E4" i="12"/>
  <c r="D25" i="12" s="1"/>
  <c r="D24" i="12"/>
  <c r="D17" i="12"/>
  <c r="C24" i="12"/>
  <c r="C17" i="12"/>
  <c r="D11" i="12"/>
  <c r="Z18" i="12"/>
  <c r="AG18" i="12"/>
  <c r="Z19" i="12"/>
  <c r="AG19" i="12"/>
  <c r="Z20" i="12"/>
  <c r="AG20" i="12"/>
  <c r="Z21" i="12"/>
  <c r="AG21" i="12" s="1"/>
  <c r="Z22" i="12"/>
  <c r="AC22" i="12" s="1"/>
  <c r="Z27" i="12"/>
  <c r="AG27" i="12"/>
  <c r="Z28" i="12"/>
  <c r="AG28" i="12"/>
  <c r="Z29" i="12"/>
  <c r="AG29" i="12"/>
  <c r="Z30" i="12"/>
  <c r="AG30" i="12"/>
  <c r="Z31" i="12"/>
  <c r="AG31" i="12"/>
  <c r="Z32" i="12"/>
  <c r="AG32" i="12"/>
  <c r="Z33" i="12"/>
  <c r="AG33" i="12"/>
  <c r="Z34" i="12"/>
  <c r="AG34" i="12"/>
  <c r="Z35" i="12"/>
  <c r="AG35" i="12"/>
  <c r="Z36" i="12"/>
  <c r="AG36" i="12"/>
  <c r="Z37" i="12"/>
  <c r="AG37" i="12"/>
  <c r="AK18" i="12"/>
  <c r="AK19" i="12"/>
  <c r="AK20" i="12"/>
  <c r="AK21" i="12"/>
  <c r="AK22" i="12"/>
  <c r="AK23" i="12"/>
  <c r="AK27" i="12"/>
  <c r="AK28" i="12"/>
  <c r="AK29" i="12"/>
  <c r="AK30" i="12"/>
  <c r="AK31" i="12"/>
  <c r="AK32" i="12"/>
  <c r="AK33" i="12"/>
  <c r="AK34" i="12"/>
  <c r="AK35" i="12"/>
  <c r="AK36" i="12"/>
  <c r="AK37" i="12"/>
  <c r="AC19" i="12"/>
  <c r="AC20" i="12"/>
  <c r="AC27" i="12"/>
  <c r="AC28" i="12"/>
  <c r="AC29" i="12"/>
  <c r="AC30" i="12"/>
  <c r="AC31" i="12"/>
  <c r="AC32" i="12"/>
  <c r="AC33" i="12"/>
  <c r="AC34" i="12"/>
  <c r="AC36" i="12"/>
  <c r="AA18" i="12"/>
  <c r="AE18" i="12" s="1"/>
  <c r="AA19" i="12"/>
  <c r="AI19" i="12" s="1"/>
  <c r="AA20" i="12"/>
  <c r="AE20" i="12" s="1"/>
  <c r="AA21" i="12"/>
  <c r="AE21" i="12" s="1"/>
  <c r="AI21" i="12"/>
  <c r="AA22" i="12"/>
  <c r="AI22" i="12" s="1"/>
  <c r="AA27" i="12"/>
  <c r="AE27" i="12" s="1"/>
  <c r="AA28" i="12"/>
  <c r="AI28" i="12" s="1"/>
  <c r="AA29" i="12"/>
  <c r="AI29" i="12" s="1"/>
  <c r="AA30" i="12"/>
  <c r="AE30" i="12" s="1"/>
  <c r="AA31" i="12"/>
  <c r="AI31" i="12" s="1"/>
  <c r="AA32" i="12"/>
  <c r="AE32" i="12" s="1"/>
  <c r="AA33" i="12"/>
  <c r="AI33" i="12" s="1"/>
  <c r="AA34" i="12"/>
  <c r="AI34" i="12" s="1"/>
  <c r="AA35" i="12"/>
  <c r="AI35" i="12" s="1"/>
  <c r="AA36" i="12"/>
  <c r="AI36" i="12" s="1"/>
  <c r="AA37" i="12"/>
  <c r="AI37" i="12" s="1"/>
  <c r="Y18" i="12"/>
  <c r="AH18" i="12" s="1"/>
  <c r="Y19" i="12"/>
  <c r="AD19" i="12" s="1"/>
  <c r="Y20" i="12"/>
  <c r="AD20" i="12" s="1"/>
  <c r="Y21" i="12"/>
  <c r="AD21" i="12" s="1"/>
  <c r="Y22" i="12"/>
  <c r="AH22" i="12" s="1"/>
  <c r="Y27" i="12"/>
  <c r="AD27" i="12" s="1"/>
  <c r="AH27" i="12"/>
  <c r="Y28" i="12"/>
  <c r="AD28" i="12"/>
  <c r="AH28" i="12"/>
  <c r="Y29" i="12"/>
  <c r="AD29" i="12" s="1"/>
  <c r="Y30" i="12"/>
  <c r="AH30" i="12"/>
  <c r="Y31" i="12"/>
  <c r="AH31" i="12" s="1"/>
  <c r="AD31" i="12"/>
  <c r="Y32" i="12"/>
  <c r="AD32" i="12" s="1"/>
  <c r="Y33" i="12"/>
  <c r="AH33" i="12"/>
  <c r="Y34" i="12"/>
  <c r="AD34" i="12"/>
  <c r="AH34" i="12"/>
  <c r="Y35" i="12"/>
  <c r="AD35" i="12" s="1"/>
  <c r="Y36" i="12"/>
  <c r="AD36" i="12" s="1"/>
  <c r="AH36" i="12"/>
  <c r="Y37" i="12"/>
  <c r="AH37" i="12"/>
  <c r="AC21" i="12"/>
  <c r="AC35" i="12"/>
  <c r="AC37" i="12"/>
  <c r="AC18" i="12"/>
  <c r="AD30" i="12"/>
  <c r="AD33" i="12"/>
  <c r="AD37" i="12"/>
  <c r="AE28" i="12"/>
  <c r="AE31" i="12"/>
  <c r="AE33" i="12"/>
  <c r="AE37" i="12"/>
  <c r="AG22" i="12" l="1"/>
  <c r="AE22" i="12"/>
  <c r="G6" i="14"/>
  <c r="D8" i="14"/>
  <c r="E17" i="12"/>
  <c r="D12" i="12"/>
  <c r="E24" i="12"/>
  <c r="Y23" i="12" s="1"/>
  <c r="AD23" i="12" s="1"/>
  <c r="AH23" i="12" s="1"/>
  <c r="AE35" i="12"/>
  <c r="AH19" i="12"/>
  <c r="Z24" i="12"/>
  <c r="AC24" i="12" s="1"/>
  <c r="AH20" i="12"/>
  <c r="AI18" i="12"/>
  <c r="AD22" i="12"/>
  <c r="AE34" i="12"/>
  <c r="AI32" i="12"/>
  <c r="AE29" i="12"/>
  <c r="AI27" i="12"/>
  <c r="AI20" i="12"/>
  <c r="D26" i="12"/>
  <c r="AE19" i="12"/>
  <c r="AD18" i="12"/>
  <c r="AI30" i="12"/>
  <c r="Z23" i="12"/>
  <c r="D18" i="12"/>
  <c r="D19" i="12" s="1"/>
  <c r="B8" i="14"/>
  <c r="AH35" i="12"/>
  <c r="AH32" i="12"/>
  <c r="AH29" i="12"/>
  <c r="AH21" i="12"/>
  <c r="AE36" i="12"/>
  <c r="F8" i="14" l="1"/>
  <c r="H8" i="14"/>
  <c r="AG24" i="12"/>
  <c r="AA23" i="12"/>
  <c r="AI23" i="12" s="1"/>
  <c r="AG23" i="12"/>
  <c r="AC23" i="12"/>
  <c r="AE23" i="12" l="1"/>
  <c r="E12" i="12" l="1"/>
  <c r="C25" i="12"/>
  <c r="E25" i="12" s="1"/>
  <c r="Y24" i="12" s="1"/>
  <c r="E12" i="14"/>
  <c r="E11" i="12"/>
  <c r="C18" i="12"/>
  <c r="E18" i="12" s="1"/>
  <c r="E19" i="12" l="1"/>
  <c r="G17" i="12" s="1"/>
  <c r="AD24" i="12"/>
  <c r="AH24" i="12"/>
  <c r="AA24" i="12"/>
  <c r="E26" i="12"/>
  <c r="E13" i="14" l="1"/>
  <c r="G18" i="12"/>
  <c r="G19" i="12" s="1"/>
  <c r="G24" i="12"/>
  <c r="Y26" i="12"/>
  <c r="Y25" i="12"/>
  <c r="G25" i="12"/>
  <c r="AK25" i="12" s="1"/>
  <c r="AI24" i="12"/>
  <c r="AE24" i="12"/>
  <c r="AH25" i="12" l="1"/>
  <c r="AD25" i="12"/>
  <c r="AH26" i="12"/>
  <c r="AD26" i="12"/>
  <c r="AK24" i="12"/>
  <c r="G26" i="12"/>
  <c r="Z26" i="12" l="1"/>
  <c r="Z25" i="12"/>
  <c r="AA25" i="12"/>
  <c r="AA26" i="12"/>
  <c r="AK26" i="12"/>
  <c r="AE26" i="12" l="1"/>
  <c r="AI26" i="12"/>
  <c r="AI25" i="12"/>
  <c r="AE25" i="12"/>
  <c r="AG25" i="12"/>
  <c r="AC25" i="12"/>
  <c r="AC26" i="12"/>
  <c r="AG26" i="12"/>
</calcChain>
</file>

<file path=xl/comments1.xml><?xml version="1.0" encoding="utf-8"?>
<comments xmlns="http://schemas.openxmlformats.org/spreadsheetml/2006/main">
  <authors>
    <author>Rui Assis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doente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saudável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doente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saudável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Falso positivo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Falso negativo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doente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saudável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doente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u/>
            <sz val="8"/>
            <color indexed="81"/>
            <rFont val="Tahoma"/>
            <family val="2"/>
          </rPr>
          <t xml:space="preserve">               P(T+|F).P(F)             </t>
        </r>
        <r>
          <rPr>
            <sz val="8"/>
            <color indexed="81"/>
            <rFont val="Tahoma"/>
            <family val="2"/>
          </rPr>
          <t xml:space="preserve">
  P(T+|F).P(F) + P(T+|D).P(D)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saudável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u/>
            <sz val="8"/>
            <color indexed="81"/>
            <rFont val="Tahoma"/>
            <family val="2"/>
          </rPr>
          <t xml:space="preserve">               P(T+|D).P(D)             </t>
        </r>
        <r>
          <rPr>
            <sz val="8"/>
            <color indexed="81"/>
            <rFont val="Tahoma"/>
            <family val="2"/>
          </rPr>
          <t xml:space="preserve">
  P(T+|D).P(D) + P(T+|F).P(F)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Probabilidade </t>
        </r>
        <r>
          <rPr>
            <i/>
            <sz val="9"/>
            <color indexed="81"/>
            <rFont val="Tahoma"/>
            <family val="2"/>
          </rPr>
          <t>a posteriori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doente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  </t>
        </r>
        <r>
          <rPr>
            <u/>
            <sz val="8"/>
            <color indexed="81"/>
            <rFont val="Tahoma"/>
            <family val="2"/>
          </rPr>
          <t xml:space="preserve">              P(T-|F).P(F)             
</t>
        </r>
        <r>
          <rPr>
            <sz val="8"/>
            <color indexed="81"/>
            <rFont val="Tahoma"/>
            <family val="2"/>
          </rPr>
          <t xml:space="preserve">  P(T-|F).P(F) + P(T-|D).P(D)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saudável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  </t>
        </r>
        <r>
          <rPr>
            <u/>
            <sz val="8"/>
            <color indexed="81"/>
            <rFont val="Tahoma"/>
            <family val="2"/>
          </rPr>
          <t xml:space="preserve">              P(T-|D).P(D)            </t>
        </r>
        <r>
          <rPr>
            <sz val="8"/>
            <color indexed="81"/>
            <rFont val="Tahoma"/>
            <family val="2"/>
          </rPr>
          <t xml:space="preserve"> 
  P(T-|D).P(D) + P(T-|F).P(F)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Probabilidade </t>
        </r>
        <r>
          <rPr>
            <i/>
            <sz val="9"/>
            <color indexed="81"/>
            <rFont val="Tahoma"/>
            <family val="2"/>
          </rPr>
          <t>a posteriori</t>
        </r>
      </text>
    </comment>
  </commentList>
</comments>
</file>

<file path=xl/sharedStrings.xml><?xml version="1.0" encoding="utf-8"?>
<sst xmlns="http://schemas.openxmlformats.org/spreadsheetml/2006/main" count="65" uniqueCount="38">
  <si>
    <t>Rui Assis</t>
  </si>
  <si>
    <t>Resultados do teste</t>
  </si>
  <si>
    <t>Estados naturais</t>
  </si>
  <si>
    <t>Positivo (T+)</t>
  </si>
  <si>
    <t>Negativo (T-)</t>
  </si>
  <si>
    <t>Favorável (F)</t>
  </si>
  <si>
    <t>Desfavorável (D)</t>
  </si>
  <si>
    <t>naturais</t>
  </si>
  <si>
    <t>Estados</t>
  </si>
  <si>
    <t>Probabilidades</t>
  </si>
  <si>
    <t>condicionadas</t>
  </si>
  <si>
    <t>conjuntas</t>
  </si>
  <si>
    <t xml:space="preserve"> P(F|T+) =</t>
  </si>
  <si>
    <t>P(D|T+) =</t>
  </si>
  <si>
    <t>P(F|T-) =</t>
  </si>
  <si>
    <t>P(D|T-) =</t>
  </si>
  <si>
    <r>
      <t xml:space="preserve">Probabilidades revistas dado o teste ter sido </t>
    </r>
    <r>
      <rPr>
        <b/>
        <sz val="10"/>
        <color indexed="10"/>
        <rFont val="Arial"/>
        <family val="2"/>
      </rPr>
      <t>positivo (T+)</t>
    </r>
  </si>
  <si>
    <r>
      <t xml:space="preserve">Probabilidades revistas dado o teste ter sido </t>
    </r>
    <r>
      <rPr>
        <b/>
        <sz val="10"/>
        <color indexed="10"/>
        <rFont val="Arial"/>
        <family val="2"/>
      </rPr>
      <t>negativo (T-)</t>
    </r>
  </si>
  <si>
    <t xml:space="preserve">Células a azul para dados, verde claro para cálculos intermédios e amarelo para resultados </t>
  </si>
  <si>
    <t>(+)</t>
  </si>
  <si>
    <t>(-)</t>
  </si>
  <si>
    <t>Resultado =</t>
  </si>
  <si>
    <t>Formulado em termos probabilísticos:</t>
  </si>
  <si>
    <t>Probabilidades condicionadas - Teorema de Bayes</t>
  </si>
  <si>
    <t>...muito mais fácil de entender, não é?</t>
  </si>
  <si>
    <t>...confuso, não é?</t>
  </si>
  <si>
    <t>passe à folha seguinte.</t>
  </si>
  <si>
    <t>Formulado, agora, em termos de frequências naturais:</t>
  </si>
  <si>
    <t>http://www.rassis.com</t>
  </si>
  <si>
    <t>rassis@rassis.com</t>
  </si>
  <si>
    <t>no caso de o teste ter sido positivo</t>
  </si>
  <si>
    <t>no caso de o teste ter sido negativo</t>
  </si>
  <si>
    <t>a priori</t>
  </si>
  <si>
    <t>(falso negativo)</t>
  </si>
  <si>
    <t>(falso positivo)</t>
  </si>
  <si>
    <t>Estatística Aplicada</t>
  </si>
  <si>
    <r>
      <t xml:space="preserve">Probabilidades </t>
    </r>
    <r>
      <rPr>
        <b/>
        <i/>
        <sz val="9"/>
        <color indexed="9"/>
        <rFont val="Arial"/>
        <family val="2"/>
      </rPr>
      <t>a priori</t>
    </r>
  </si>
  <si>
    <t>a posteriori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</si>
</sst>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3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Arial"/>
      <family val="2"/>
    </font>
    <font>
      <sz val="10"/>
      <name val="Symbol"/>
      <family val="1"/>
      <charset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20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14"/>
      <color indexed="9"/>
      <name val="Times New Roman"/>
      <family val="1"/>
    </font>
    <font>
      <sz val="8"/>
      <color rgb="FFC0000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i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/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3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6" borderId="1" xfId="0" applyNumberFormat="1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3" fontId="1" fillId="7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2" fillId="6" borderId="0" xfId="0" applyFont="1" applyFill="1" applyAlignment="1" applyProtection="1">
      <alignment horizontal="center"/>
    </xf>
    <xf numFmtId="0" fontId="1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/>
      <protection hidden="1"/>
    </xf>
    <xf numFmtId="0" fontId="15" fillId="2" borderId="0" xfId="0" applyFont="1" applyFill="1"/>
    <xf numFmtId="0" fontId="16" fillId="2" borderId="0" xfId="0" applyFont="1" applyFill="1" applyBorder="1" applyAlignment="1" applyProtection="1">
      <alignment horizontal="left"/>
    </xf>
    <xf numFmtId="0" fontId="19" fillId="2" borderId="0" xfId="1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25" fillId="2" borderId="0" xfId="0" applyNumberFormat="1" applyFont="1" applyFill="1" applyBorder="1" applyAlignment="1" applyProtection="1">
      <alignment horizontal="center"/>
    </xf>
    <xf numFmtId="0" fontId="1" fillId="2" borderId="0" xfId="2" applyFont="1" applyFill="1" applyProtection="1"/>
    <xf numFmtId="0" fontId="0" fillId="2" borderId="0" xfId="0" applyNumberFormat="1" applyFill="1" applyProtection="1">
      <protection hidden="1"/>
    </xf>
    <xf numFmtId="0" fontId="1" fillId="2" borderId="0" xfId="0" applyNumberFormat="1" applyFont="1" applyFill="1" applyProtection="1"/>
    <xf numFmtId="0" fontId="1" fillId="2" borderId="0" xfId="0" applyFont="1" applyFill="1" applyProtection="1">
      <protection hidden="1"/>
    </xf>
    <xf numFmtId="0" fontId="26" fillId="2" borderId="0" xfId="0" applyNumberFormat="1" applyFont="1" applyFill="1" applyAlignment="1" applyProtection="1">
      <alignment horizontal="left"/>
      <protection hidden="1"/>
    </xf>
    <xf numFmtId="0" fontId="13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3" borderId="0" xfId="0" applyNumberFormat="1" applyFont="1" applyFill="1" applyProtection="1">
      <protection hidden="1"/>
    </xf>
    <xf numFmtId="0" fontId="27" fillId="3" borderId="0" xfId="0" applyNumberFormat="1" applyFont="1" applyFill="1" applyAlignment="1" applyProtection="1">
      <alignment horizontal="center"/>
      <protection hidden="1"/>
    </xf>
    <xf numFmtId="0" fontId="28" fillId="3" borderId="0" xfId="0" applyNumberFormat="1" applyFont="1" applyFill="1" applyAlignment="1" applyProtection="1">
      <alignment horizontal="center"/>
      <protection hidden="1"/>
    </xf>
    <xf numFmtId="0" fontId="25" fillId="2" borderId="0" xfId="2" applyFont="1" applyFill="1" applyBorder="1" applyAlignment="1" applyProtection="1">
      <alignment horizontal="center"/>
    </xf>
    <xf numFmtId="0" fontId="1" fillId="0" borderId="0" xfId="2"/>
    <xf numFmtId="0" fontId="29" fillId="2" borderId="0" xfId="2" applyFont="1" applyFill="1" applyAlignment="1" applyProtection="1">
      <alignment horizontal="center"/>
      <protection hidden="1"/>
    </xf>
    <xf numFmtId="0" fontId="30" fillId="2" borderId="0" xfId="0" applyFont="1" applyFill="1" applyAlignment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32" fillId="10" borderId="1" xfId="0" applyNumberFormat="1" applyFont="1" applyFill="1" applyBorder="1" applyAlignment="1" applyProtection="1">
      <alignment horizontal="center" vertical="center"/>
    </xf>
    <xf numFmtId="17" fontId="4" fillId="2" borderId="0" xfId="2" applyNumberFormat="1" applyFont="1" applyFill="1" applyAlignment="1" applyProtection="1">
      <alignment horizontal="center"/>
      <protection hidden="1"/>
    </xf>
    <xf numFmtId="0" fontId="7" fillId="8" borderId="3" xfId="0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11" fillId="9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7" fillId="8" borderId="0" xfId="0" applyFont="1" applyFill="1" applyBorder="1" applyAlignment="1" applyProtection="1">
      <alignment horizontal="center" vertical="center" wrapText="1"/>
    </xf>
    <xf numFmtId="0" fontId="17" fillId="8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17" fillId="8" borderId="0" xfId="0" applyFont="1" applyFill="1" applyBorder="1" applyAlignment="1" applyProtection="1">
      <alignment horizontal="left"/>
    </xf>
    <xf numFmtId="0" fontId="17" fillId="8" borderId="4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Simulador série 3_09" xfId="2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11</xdr:row>
      <xdr:rowOff>182880</xdr:rowOff>
    </xdr:from>
    <xdr:to>
      <xdr:col>11</xdr:col>
      <xdr:colOff>527050</xdr:colOff>
      <xdr:row>15</xdr:row>
      <xdr:rowOff>44450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63650" y="3021330"/>
          <a:ext cx="9182100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probabilidade de uma mulher entre os 40 e os 50 anos ter cancro da mama é de 0,008. Se uma mulher tiver cancro da mama, a probabilidade de obter um mamograma positivo é de 0,9. Se não tiver cancro da mama, a probabilidade de obter um mamograma positivo é de 0,07. </a:t>
          </a: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Qual é a probabilidade de uma qualquer mulher, cujo mamograma tenha sido positivo, ter efectivamente um cancro da mama? E no caso de ter sido negativo? Resposta =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0,093946; 0,000866</a:t>
          </a:r>
        </a:p>
        <a:p>
          <a:pPr algn="l" rtl="0">
            <a:defRPr sz="1000"/>
          </a:pPr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</xdr:row>
      <xdr:rowOff>106680</xdr:rowOff>
    </xdr:from>
    <xdr:to>
      <xdr:col>3</xdr:col>
      <xdr:colOff>830580</xdr:colOff>
      <xdr:row>5</xdr:row>
      <xdr:rowOff>99060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H="1">
          <a:off x="1661160" y="1112520"/>
          <a:ext cx="60198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4</xdr:row>
      <xdr:rowOff>99060</xdr:rowOff>
    </xdr:from>
    <xdr:to>
      <xdr:col>5</xdr:col>
      <xdr:colOff>838200</xdr:colOff>
      <xdr:row>5</xdr:row>
      <xdr:rowOff>99060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910840" y="1104900"/>
          <a:ext cx="60198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6</xdr:row>
      <xdr:rowOff>22860</xdr:rowOff>
    </xdr:from>
    <xdr:to>
      <xdr:col>2</xdr:col>
      <xdr:colOff>411480</xdr:colOff>
      <xdr:row>7</xdr:row>
      <xdr:rowOff>99060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H="1">
          <a:off x="1036320" y="1363980"/>
          <a:ext cx="38862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426720</xdr:colOff>
      <xdr:row>6</xdr:row>
      <xdr:rowOff>22860</xdr:rowOff>
    </xdr:from>
    <xdr:to>
      <xdr:col>2</xdr:col>
      <xdr:colOff>838200</xdr:colOff>
      <xdr:row>7</xdr:row>
      <xdr:rowOff>99060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440180" y="1363980"/>
          <a:ext cx="19812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6</xdr:row>
      <xdr:rowOff>7620</xdr:rowOff>
    </xdr:from>
    <xdr:to>
      <xdr:col>6</xdr:col>
      <xdr:colOff>411480</xdr:colOff>
      <xdr:row>7</xdr:row>
      <xdr:rowOff>91440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 flipH="1">
          <a:off x="3535680" y="1348740"/>
          <a:ext cx="38862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426720</xdr:colOff>
      <xdr:row>6</xdr:row>
      <xdr:rowOff>7620</xdr:rowOff>
    </xdr:from>
    <xdr:to>
      <xdr:col>6</xdr:col>
      <xdr:colOff>838200</xdr:colOff>
      <xdr:row>7</xdr:row>
      <xdr:rowOff>91440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3939540" y="1348740"/>
          <a:ext cx="19812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="120" zoomScaleNormal="120" workbookViewId="0"/>
  </sheetViews>
  <sheetFormatPr defaultRowHeight="13.2" x14ac:dyDescent="0.25"/>
  <cols>
    <col min="1" max="3" width="13.109375" style="33" customWidth="1"/>
    <col min="4" max="4" width="13.109375" style="38" customWidth="1"/>
    <col min="5" max="28" width="13.109375" customWidth="1"/>
  </cols>
  <sheetData>
    <row r="1" spans="1:27" s="39" customFormat="1" ht="18" customHeight="1" x14ac:dyDescent="0.25">
      <c r="A1" s="29"/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7" s="33" customFormat="1" ht="24.6" x14ac:dyDescent="0.4">
      <c r="A2" s="29"/>
      <c r="B2" s="29"/>
      <c r="C2" s="29"/>
      <c r="D2" s="29"/>
      <c r="E2" s="40"/>
      <c r="F2" s="40"/>
      <c r="G2" s="41"/>
      <c r="H2" s="40"/>
      <c r="I2" s="40"/>
      <c r="J2" s="29"/>
      <c r="K2" s="29"/>
      <c r="L2" s="29"/>
      <c r="M2" s="29"/>
      <c r="N2" s="29"/>
    </row>
    <row r="3" spans="1:27" s="33" customFormat="1" ht="30" x14ac:dyDescent="0.5">
      <c r="A3" s="29"/>
      <c r="B3" s="29"/>
      <c r="C3" s="29"/>
      <c r="D3" s="29"/>
      <c r="E3" s="40"/>
      <c r="F3" s="40"/>
      <c r="G3" s="42" t="s">
        <v>35</v>
      </c>
      <c r="H3" s="40"/>
      <c r="I3" s="40"/>
      <c r="J3" s="29"/>
      <c r="K3" s="29"/>
      <c r="L3" s="29"/>
      <c r="M3" s="29"/>
      <c r="N3" s="29"/>
    </row>
    <row r="4" spans="1:27" s="33" customFormat="1" ht="25.5" customHeight="1" x14ac:dyDescent="0.4">
      <c r="A4" s="31"/>
      <c r="B4" s="31"/>
      <c r="C4" s="31"/>
      <c r="D4" s="29"/>
      <c r="E4" s="40"/>
      <c r="F4" s="40"/>
      <c r="G4" s="41"/>
      <c r="H4" s="40"/>
      <c r="I4" s="40"/>
      <c r="J4" s="29"/>
      <c r="K4" s="29"/>
      <c r="L4" s="29"/>
      <c r="M4" s="29"/>
      <c r="N4" s="29"/>
    </row>
    <row r="5" spans="1:27" s="44" customFormat="1" ht="18" customHeight="1" x14ac:dyDescent="0.25">
      <c r="A5" s="31"/>
      <c r="B5" s="31"/>
      <c r="C5" s="31"/>
      <c r="D5" s="32"/>
      <c r="E5" s="32"/>
      <c r="F5" s="32"/>
      <c r="G5" s="32"/>
      <c r="H5" s="32"/>
      <c r="I5" s="32"/>
      <c r="J5" s="43"/>
      <c r="K5" s="32"/>
      <c r="L5" s="32"/>
      <c r="M5" s="32"/>
      <c r="N5" s="32"/>
      <c r="O5" s="32"/>
      <c r="P5" s="32"/>
    </row>
    <row r="6" spans="1:27" s="44" customFormat="1" ht="18" customHeight="1" x14ac:dyDescent="0.3">
      <c r="A6" s="31"/>
      <c r="B6" s="31"/>
      <c r="C6" s="31"/>
      <c r="D6" s="32"/>
      <c r="E6" s="32"/>
      <c r="F6" s="32"/>
      <c r="G6" s="45" t="s">
        <v>0</v>
      </c>
      <c r="H6" s="32"/>
      <c r="I6" s="32"/>
      <c r="J6" s="43"/>
      <c r="K6" s="32"/>
      <c r="L6" s="32"/>
      <c r="M6" s="32"/>
      <c r="N6" s="32"/>
      <c r="O6" s="32"/>
      <c r="P6" s="32"/>
    </row>
    <row r="7" spans="1:27" s="44" customFormat="1" ht="18" customHeight="1" x14ac:dyDescent="0.3">
      <c r="A7" s="31"/>
      <c r="B7" s="31"/>
      <c r="C7" s="31"/>
      <c r="D7" s="32"/>
      <c r="E7" s="32"/>
      <c r="F7" s="32"/>
      <c r="G7" s="50">
        <v>42005</v>
      </c>
      <c r="H7" s="32"/>
      <c r="I7" s="32"/>
      <c r="J7" s="43"/>
      <c r="K7" s="32"/>
      <c r="L7" s="32"/>
      <c r="M7" s="32"/>
      <c r="N7" s="32"/>
      <c r="O7" s="32"/>
      <c r="P7" s="32"/>
    </row>
    <row r="8" spans="1:27" s="44" customFormat="1" ht="18" customHeight="1" x14ac:dyDescent="0.25">
      <c r="A8" s="31"/>
      <c r="B8" s="31"/>
      <c r="C8" s="31"/>
      <c r="D8" s="32"/>
      <c r="E8" s="32"/>
      <c r="F8" s="32"/>
      <c r="G8" s="26" t="s">
        <v>29</v>
      </c>
      <c r="H8" s="32"/>
      <c r="I8" s="32"/>
      <c r="J8" s="43"/>
      <c r="K8" s="32"/>
      <c r="L8" s="32"/>
      <c r="M8" s="32"/>
      <c r="N8" s="32"/>
      <c r="O8" s="32"/>
      <c r="P8" s="32"/>
    </row>
    <row r="9" spans="1:27" s="44" customFormat="1" ht="18" customHeight="1" x14ac:dyDescent="0.25">
      <c r="A9" s="31"/>
      <c r="B9" s="31"/>
      <c r="C9" s="31"/>
      <c r="D9" s="32"/>
      <c r="E9" s="32"/>
      <c r="F9" s="32"/>
      <c r="G9" s="26" t="s">
        <v>28</v>
      </c>
      <c r="H9" s="32"/>
      <c r="I9" s="32"/>
      <c r="J9" s="43"/>
      <c r="K9" s="32"/>
      <c r="L9" s="32"/>
      <c r="M9" s="32"/>
      <c r="N9" s="32"/>
      <c r="O9" s="32"/>
      <c r="P9" s="32"/>
    </row>
    <row r="10" spans="1:27" ht="18" customHeight="1" x14ac:dyDescent="0.3">
      <c r="A10" s="31"/>
      <c r="B10" s="31"/>
      <c r="C10" s="31"/>
      <c r="D10" s="32"/>
      <c r="E10" s="1"/>
      <c r="F10" s="1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35">
      <c r="D11" s="33"/>
      <c r="E11" s="1"/>
      <c r="F11" s="1"/>
      <c r="G11" s="27" t="s">
        <v>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25">
      <c r="A12" s="34"/>
      <c r="B12" s="34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25">
      <c r="A13" s="29"/>
      <c r="B13" s="29"/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 x14ac:dyDescent="0.25">
      <c r="A14" s="29"/>
      <c r="B14" s="29"/>
      <c r="C14" s="29"/>
      <c r="D14" s="3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x14ac:dyDescent="0.25">
      <c r="A15" s="29"/>
      <c r="B15" s="29"/>
      <c r="C15" s="29"/>
      <c r="D15" s="3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 x14ac:dyDescent="0.25">
      <c r="A16" s="29"/>
      <c r="B16" s="29"/>
      <c r="C16" s="29"/>
      <c r="D16" s="3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 x14ac:dyDescent="0.25">
      <c r="A17" s="29"/>
      <c r="B17" s="29"/>
      <c r="C17" s="29"/>
      <c r="D17" s="3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 x14ac:dyDescent="0.3">
      <c r="A18" s="29"/>
      <c r="B18" s="29"/>
      <c r="C18" s="29"/>
      <c r="D18" s="37"/>
      <c r="E18" s="1"/>
      <c r="F18" s="1"/>
      <c r="G18" s="23" t="s">
        <v>18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25">
      <c r="A19" s="29"/>
      <c r="B19" s="29"/>
      <c r="C19" s="29"/>
      <c r="D19" s="3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x14ac:dyDescent="0.25">
      <c r="A20" s="29"/>
      <c r="B20" s="29"/>
      <c r="C20" s="29"/>
      <c r="D20" s="3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x14ac:dyDescent="0.25">
      <c r="A21" s="29"/>
      <c r="B21" s="29"/>
      <c r="C21" s="29"/>
      <c r="D21" s="3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25">
      <c r="A22" s="29"/>
      <c r="B22" s="29"/>
      <c r="C22" s="29"/>
      <c r="D22" s="3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29"/>
      <c r="B23" s="29"/>
      <c r="C23" s="29"/>
      <c r="D23" s="3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29"/>
      <c r="B24" s="29"/>
      <c r="C24" s="29"/>
      <c r="D24" s="3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29"/>
      <c r="B25" s="29"/>
      <c r="C25" s="29"/>
      <c r="D25" s="3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29"/>
      <c r="B26" s="29"/>
      <c r="C26" s="29"/>
      <c r="D26" s="3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29"/>
      <c r="B27" s="29"/>
      <c r="C27" s="29"/>
      <c r="D27" s="3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29"/>
      <c r="B28" s="29"/>
      <c r="C28" s="29"/>
      <c r="D28" s="3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29"/>
      <c r="B29" s="29"/>
      <c r="C29" s="29"/>
      <c r="D29" s="3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29"/>
      <c r="B30" s="29"/>
      <c r="C30" s="29"/>
      <c r="D30" s="3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29"/>
      <c r="B31" s="29"/>
      <c r="C31" s="29"/>
      <c r="D31" s="3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29"/>
      <c r="B32" s="29"/>
      <c r="C32" s="29"/>
      <c r="D32" s="3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29"/>
      <c r="B33" s="29"/>
      <c r="C33" s="29"/>
      <c r="D33" s="3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29"/>
      <c r="B34" s="29"/>
      <c r="C34" s="29"/>
      <c r="D34" s="3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5:27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5:27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5:27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5:27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5:27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5:27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5:27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5:27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5:27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5:27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5:27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5:27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5:27" x14ac:dyDescent="0.2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</sheetData>
  <phoneticPr fontId="0" type="noConversion"/>
  <hyperlinks>
    <hyperlink ref="G8" r:id="rId1"/>
    <hyperlink ref="G9" r:id="rId2"/>
  </hyperlinks>
  <pageMargins left="0.75" right="0.75" top="1" bottom="1" header="0.5" footer="0.5"/>
  <pageSetup paperSize="9"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9"/>
  <sheetViews>
    <sheetView zoomScale="105" workbookViewId="0"/>
  </sheetViews>
  <sheetFormatPr defaultColWidth="9.109375" defaultRowHeight="13.2" x14ac:dyDescent="0.25"/>
  <cols>
    <col min="1" max="1" width="41.33203125" style="7" customWidth="1"/>
    <col min="2" max="5" width="18.88671875" style="7" customWidth="1"/>
    <col min="6" max="6" width="9.5546875" style="7" customWidth="1"/>
    <col min="7" max="10" width="18.88671875" style="7" customWidth="1"/>
    <col min="11" max="14" width="10.6640625" style="7" customWidth="1"/>
    <col min="15" max="16384" width="9.109375" style="7"/>
  </cols>
  <sheetData>
    <row r="1" spans="1:14" x14ac:dyDescent="0.25">
      <c r="A1" s="5"/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1" t="s">
        <v>2</v>
      </c>
      <c r="E2" s="52"/>
      <c r="F2" s="6"/>
      <c r="G2" s="5"/>
      <c r="H2" s="5"/>
      <c r="I2" s="5"/>
      <c r="J2" s="5"/>
      <c r="K2" s="5"/>
      <c r="L2" s="5"/>
      <c r="M2" s="5"/>
      <c r="N2" s="5"/>
    </row>
    <row r="3" spans="1:14" x14ac:dyDescent="0.25">
      <c r="A3" s="19" t="s">
        <v>22</v>
      </c>
      <c r="B3" s="5"/>
      <c r="C3" s="5"/>
      <c r="D3" s="8" t="s">
        <v>5</v>
      </c>
      <c r="E3" s="8" t="s">
        <v>6</v>
      </c>
      <c r="F3" s="6"/>
      <c r="G3" s="5"/>
      <c r="H3" s="5"/>
      <c r="I3" s="5"/>
      <c r="J3" s="9"/>
      <c r="K3" s="9"/>
      <c r="L3" s="9"/>
      <c r="M3" s="5"/>
      <c r="N3" s="5"/>
    </row>
    <row r="4" spans="1:14" ht="13.2" customHeight="1" x14ac:dyDescent="0.25">
      <c r="A4" s="5"/>
      <c r="B4" s="55" t="s">
        <v>36</v>
      </c>
      <c r="C4" s="56"/>
      <c r="D4" s="4">
        <v>8.0000000000000002E-3</v>
      </c>
      <c r="E4" s="11">
        <f>1-D4</f>
        <v>0.99199999999999999</v>
      </c>
      <c r="F4" s="6"/>
      <c r="G4" s="5"/>
      <c r="H4" s="5"/>
      <c r="I4" s="5"/>
      <c r="J4" s="9"/>
      <c r="K4" s="9"/>
      <c r="L4" s="9"/>
      <c r="M4" s="5"/>
      <c r="N4" s="5"/>
    </row>
    <row r="5" spans="1:14" x14ac:dyDescent="0.25">
      <c r="A5" s="5"/>
      <c r="B5" s="57"/>
      <c r="C5" s="57"/>
      <c r="D5" s="6"/>
      <c r="E5" s="6"/>
      <c r="F5" s="6"/>
      <c r="G5" s="5"/>
      <c r="H5" s="5"/>
      <c r="I5" s="5"/>
      <c r="J5" s="12"/>
      <c r="K5" s="9"/>
      <c r="L5" s="9"/>
      <c r="M5" s="5"/>
      <c r="N5" s="5"/>
    </row>
    <row r="6" spans="1:14" x14ac:dyDescent="0.25">
      <c r="A6" s="5"/>
      <c r="B6" s="58" t="s">
        <v>1</v>
      </c>
      <c r="C6" s="59"/>
      <c r="D6" s="8" t="s">
        <v>5</v>
      </c>
      <c r="E6" s="8" t="s">
        <v>6</v>
      </c>
      <c r="F6" s="6"/>
      <c r="G6" s="5"/>
      <c r="H6" s="5"/>
      <c r="I6" s="5"/>
      <c r="J6" s="9"/>
      <c r="K6" s="9"/>
      <c r="L6" s="9"/>
      <c r="M6" s="5"/>
      <c r="N6" s="5"/>
    </row>
    <row r="7" spans="1:14" x14ac:dyDescent="0.25">
      <c r="A7" s="5"/>
      <c r="B7" s="60" t="s">
        <v>3</v>
      </c>
      <c r="C7" s="60"/>
      <c r="D7" s="11">
        <f>1-D8</f>
        <v>0.9</v>
      </c>
      <c r="E7" s="4">
        <v>7.0000000000000007E-2</v>
      </c>
      <c r="F7" s="6"/>
      <c r="G7" s="5"/>
      <c r="H7" s="5"/>
      <c r="I7" s="5"/>
      <c r="J7" s="9"/>
      <c r="K7" s="9"/>
      <c r="L7" s="9"/>
      <c r="M7" s="5"/>
      <c r="N7" s="5"/>
    </row>
    <row r="8" spans="1:14" x14ac:dyDescent="0.25">
      <c r="A8" s="5"/>
      <c r="B8" s="60" t="s">
        <v>4</v>
      </c>
      <c r="C8" s="60"/>
      <c r="D8" s="4">
        <v>0.1</v>
      </c>
      <c r="E8" s="11">
        <f>1-E7</f>
        <v>0.92999999999999994</v>
      </c>
      <c r="F8" s="5"/>
      <c r="G8" s="5"/>
      <c r="H8" s="5"/>
      <c r="I8" s="5"/>
      <c r="J8" s="9"/>
      <c r="K8" s="9"/>
      <c r="L8" s="9"/>
      <c r="M8" s="5"/>
      <c r="N8" s="5"/>
    </row>
    <row r="9" spans="1:14" x14ac:dyDescent="0.25">
      <c r="A9" s="5"/>
      <c r="B9" s="61"/>
      <c r="C9" s="61"/>
      <c r="D9" s="9"/>
      <c r="E9" s="9"/>
      <c r="F9" s="6"/>
      <c r="G9" s="5"/>
      <c r="H9" s="5"/>
      <c r="I9" s="5"/>
      <c r="J9" s="9"/>
      <c r="K9" s="9"/>
      <c r="L9" s="9"/>
      <c r="M9" s="5"/>
      <c r="N9" s="5"/>
    </row>
    <row r="10" spans="1:14" x14ac:dyDescent="0.25">
      <c r="A10" s="5"/>
      <c r="B10" s="58" t="s">
        <v>1</v>
      </c>
      <c r="C10" s="59"/>
      <c r="D10" s="8" t="s">
        <v>5</v>
      </c>
      <c r="E10" s="8" t="s">
        <v>6</v>
      </c>
      <c r="F10" s="6"/>
      <c r="G10" s="5"/>
      <c r="H10" s="5"/>
      <c r="I10" s="9"/>
      <c r="J10" s="9"/>
      <c r="K10" s="9"/>
      <c r="L10" s="9"/>
      <c r="M10" s="5"/>
      <c r="N10" s="5"/>
    </row>
    <row r="11" spans="1:14" ht="15.75" customHeight="1" x14ac:dyDescent="0.25">
      <c r="A11" s="5"/>
      <c r="B11" s="60" t="s">
        <v>3</v>
      </c>
      <c r="C11" s="60"/>
      <c r="D11" s="11" t="str">
        <f>CONCATENATE("P(T+|F) = ",D7)</f>
        <v>P(T+|F) = 0,9</v>
      </c>
      <c r="E11" s="11" t="str">
        <f>CONCATENATE("P(T+|D) = ",E7)</f>
        <v>P(T+|D) = 0,07</v>
      </c>
      <c r="F11" s="6"/>
      <c r="G11" s="5"/>
      <c r="H11" s="5"/>
      <c r="I11" s="5"/>
      <c r="J11" s="5"/>
      <c r="K11" s="9"/>
      <c r="L11" s="9"/>
      <c r="M11" s="9"/>
      <c r="N11" s="9"/>
    </row>
    <row r="12" spans="1:14" ht="15.75" customHeight="1" x14ac:dyDescent="0.25">
      <c r="A12" s="5"/>
      <c r="B12" s="60" t="s">
        <v>4</v>
      </c>
      <c r="C12" s="60"/>
      <c r="D12" s="11" t="str">
        <f>CONCATENATE("P(T-|F) = ",D8)</f>
        <v>P(T-|F) = 0,1</v>
      </c>
      <c r="E12" s="11" t="str">
        <f>CONCATENATE("P(T-|D) = ",E8)</f>
        <v>P(T-|D) = 0,93</v>
      </c>
      <c r="F12" s="6"/>
      <c r="G12" s="5"/>
      <c r="H12" s="5"/>
      <c r="I12" s="5"/>
      <c r="J12" s="5"/>
      <c r="K12" s="9"/>
      <c r="L12" s="9"/>
      <c r="M12" s="9"/>
      <c r="N12" s="9"/>
    </row>
    <row r="13" spans="1:14" x14ac:dyDescent="0.25">
      <c r="A13" s="5"/>
      <c r="B13" s="9"/>
      <c r="C13" s="9"/>
      <c r="D13" s="9"/>
      <c r="E13" s="5"/>
      <c r="F13" s="5"/>
      <c r="G13" s="5"/>
      <c r="H13" s="9"/>
      <c r="I13" s="9"/>
      <c r="J13" s="9"/>
      <c r="K13" s="9"/>
      <c r="L13" s="9"/>
      <c r="M13" s="9"/>
      <c r="N13" s="9"/>
    </row>
    <row r="14" spans="1:14" x14ac:dyDescent="0.25">
      <c r="A14" s="5"/>
      <c r="B14" s="53" t="s">
        <v>16</v>
      </c>
      <c r="C14" s="54"/>
      <c r="D14" s="54"/>
      <c r="E14" s="54"/>
      <c r="F14" s="54"/>
      <c r="G14" s="54"/>
      <c r="H14" s="9"/>
      <c r="I14" s="9"/>
      <c r="J14" s="9"/>
      <c r="K14" s="9"/>
      <c r="L14" s="9"/>
      <c r="M14" s="9"/>
      <c r="N14" s="9"/>
    </row>
    <row r="15" spans="1:14" x14ac:dyDescent="0.25">
      <c r="A15" s="5"/>
      <c r="B15" s="47" t="s">
        <v>8</v>
      </c>
      <c r="C15" s="47" t="s">
        <v>9</v>
      </c>
      <c r="D15" s="47" t="s">
        <v>9</v>
      </c>
      <c r="E15" s="47" t="s">
        <v>9</v>
      </c>
      <c r="F15" s="5"/>
      <c r="G15" s="47" t="s">
        <v>9</v>
      </c>
      <c r="H15" s="9"/>
      <c r="I15" s="9"/>
      <c r="J15" s="9"/>
      <c r="K15" s="9"/>
      <c r="L15" s="9"/>
      <c r="M15" s="9"/>
      <c r="N15" s="9"/>
    </row>
    <row r="16" spans="1:14" x14ac:dyDescent="0.25">
      <c r="A16" s="5"/>
      <c r="B16" s="47" t="s">
        <v>7</v>
      </c>
      <c r="C16" s="47" t="s">
        <v>10</v>
      </c>
      <c r="D16" s="48" t="s">
        <v>32</v>
      </c>
      <c r="E16" s="47" t="s">
        <v>11</v>
      </c>
      <c r="F16" s="5"/>
      <c r="G16" s="48" t="s">
        <v>37</v>
      </c>
      <c r="H16" s="5"/>
      <c r="I16" s="5"/>
      <c r="J16" s="9"/>
      <c r="K16" s="9"/>
      <c r="L16" s="9"/>
      <c r="M16" s="9"/>
      <c r="N16" s="9"/>
    </row>
    <row r="17" spans="1:37" x14ac:dyDescent="0.25">
      <c r="A17" s="5"/>
      <c r="B17" s="8" t="s">
        <v>5</v>
      </c>
      <c r="C17" s="11">
        <f>D7</f>
        <v>0.9</v>
      </c>
      <c r="D17" s="11">
        <f>D4</f>
        <v>8.0000000000000002E-3</v>
      </c>
      <c r="E17" s="11">
        <f>C17*D17</f>
        <v>7.2000000000000007E-3</v>
      </c>
      <c r="F17" s="10" t="s">
        <v>12</v>
      </c>
      <c r="G17" s="13">
        <f>E17/E$19</f>
        <v>9.3945720250521933E-2</v>
      </c>
      <c r="H17" s="5"/>
      <c r="I17" s="5"/>
      <c r="J17" s="9"/>
      <c r="K17" s="9"/>
      <c r="L17" s="9"/>
      <c r="M17" s="9"/>
      <c r="N17" s="9"/>
      <c r="Y17" s="14"/>
      <c r="Z17" s="14"/>
      <c r="AA17" s="14"/>
      <c r="AC17" s="14"/>
      <c r="AD17" s="14"/>
      <c r="AE17" s="14"/>
      <c r="AG17" s="14"/>
      <c r="AH17" s="14"/>
      <c r="AI17" s="14"/>
      <c r="AK17" s="15"/>
    </row>
    <row r="18" spans="1:37" x14ac:dyDescent="0.25">
      <c r="A18" s="5"/>
      <c r="B18" s="17" t="s">
        <v>6</v>
      </c>
      <c r="C18" s="11">
        <f>E7</f>
        <v>7.0000000000000007E-2</v>
      </c>
      <c r="D18" s="11">
        <f>E4</f>
        <v>0.99199999999999999</v>
      </c>
      <c r="E18" s="11">
        <f>C18*D18</f>
        <v>6.9440000000000002E-2</v>
      </c>
      <c r="F18" s="10" t="s">
        <v>13</v>
      </c>
      <c r="G18" s="13">
        <f>E18/E$19</f>
        <v>0.90605427974947805</v>
      </c>
      <c r="H18" s="9"/>
      <c r="I18" s="9"/>
      <c r="J18" s="9"/>
      <c r="K18" s="9"/>
      <c r="L18" s="9"/>
      <c r="M18" s="9"/>
      <c r="N18" s="9"/>
      <c r="Y18" s="15" t="e">
        <f>IF(AND(#REF!&lt;#REF!,#REF!&gt;#REF!),1,0)</f>
        <v>#REF!</v>
      </c>
      <c r="Z18" s="15" t="e">
        <f>IF(AND(#REF!&lt;#REF!,#REF!&gt;#REF!),1,0)</f>
        <v>#REF!</v>
      </c>
      <c r="AA18" s="15" t="e">
        <f>IF(AND(#REF!&lt;#REF!,#REF!&gt;#REF!),1,0)</f>
        <v>#REF!</v>
      </c>
      <c r="AC18" s="15" t="e">
        <f>IF(Z18=1,#REF!+(#REF!-#REF!)*(#REF!-#REF!)/((#REF!-#REF!)+(#REF!-#REF!)),"-")</f>
        <v>#REF!</v>
      </c>
      <c r="AD18" s="15" t="e">
        <f>IF(Y18=1,#REF!+(#REF!-#REF!)*(#REF!-#REF!)/((#REF!-#REF!)+(#REF!-#REF!)),"-")</f>
        <v>#REF!</v>
      </c>
      <c r="AE18" s="15" t="e">
        <f>IF(AA18=1,#REF!+(#REF!-#REF!)*(#REF!-#REF!)/((#REF!-#REF!)+(#REF!-#REF!)),"-")</f>
        <v>#REF!</v>
      </c>
      <c r="AG18" s="15" t="e">
        <f>IF(Z18=1,ROUND(#REF!+(AC18-#REF!)/(#REF!-#REF!)*(#REF!-#REF!),-1),"-")</f>
        <v>#REF!</v>
      </c>
      <c r="AH18" s="15" t="e">
        <f>IF(Y18=1,ROUND(#REF!+(AD18-#REF!)/(#REF!-#REF!)*(#REF!-#REF!),-1),"-")</f>
        <v>#REF!</v>
      </c>
      <c r="AI18" s="15" t="e">
        <f>IF(AA18=1,ROUND(#REF!+(AE18-#REF!)/(#REF!-#REF!)*(#REF!-#REF!),-1),"-")</f>
        <v>#REF!</v>
      </c>
      <c r="AK18" s="15" t="e">
        <f>MIN(#REF!)</f>
        <v>#REF!</v>
      </c>
    </row>
    <row r="19" spans="1:37" x14ac:dyDescent="0.25">
      <c r="A19" s="5"/>
      <c r="B19" s="9"/>
      <c r="C19" s="9"/>
      <c r="D19" s="11">
        <f>SUM(D17:D18)</f>
        <v>1</v>
      </c>
      <c r="E19" s="49">
        <f>SUM(E17:E18)</f>
        <v>7.664E-2</v>
      </c>
      <c r="F19" s="9"/>
      <c r="G19" s="11">
        <f>SUM(G17:G18)</f>
        <v>1</v>
      </c>
      <c r="H19" s="5"/>
      <c r="I19" s="5"/>
      <c r="J19" s="9"/>
      <c r="K19" s="9"/>
      <c r="L19" s="9"/>
      <c r="M19" s="9"/>
      <c r="N19" s="9"/>
      <c r="Y19" s="15" t="e">
        <f>IF(AND(#REF!&lt;#REF!,#REF!&gt;#REF!),1,0)</f>
        <v>#REF!</v>
      </c>
      <c r="Z19" s="15" t="e">
        <f>IF(AND(#REF!&lt;#REF!,#REF!&gt;#REF!),1,0)</f>
        <v>#REF!</v>
      </c>
      <c r="AA19" s="15" t="e">
        <f>IF(AND(#REF!&lt;#REF!,#REF!&gt;#REF!),1,0)</f>
        <v>#REF!</v>
      </c>
      <c r="AC19" s="15" t="e">
        <f>IF(Z19=1,#REF!+(#REF!-#REF!)*(#REF!-#REF!)/((#REF!-#REF!)+(#REF!-#REF!)),"-")</f>
        <v>#REF!</v>
      </c>
      <c r="AD19" s="15" t="e">
        <f>IF(Y19=1,#REF!+(#REF!-#REF!)*(#REF!-#REF!)/((#REF!-#REF!)+(#REF!-#REF!)),"-")</f>
        <v>#REF!</v>
      </c>
      <c r="AE19" s="15" t="e">
        <f>IF(AA19=1,#REF!+(#REF!-#REF!)*(#REF!-#REF!)/((#REF!-#REF!)+(#REF!-#REF!)),"-")</f>
        <v>#REF!</v>
      </c>
      <c r="AG19" s="15" t="e">
        <f>IF(Z19=1,ROUND(#REF!+(AC19-#REF!)/(#REF!-#REF!)*(#REF!-#REF!),-1),"-")</f>
        <v>#REF!</v>
      </c>
      <c r="AH19" s="15" t="e">
        <f>IF(Y19=1,ROUND(#REF!+(AD19-#REF!)/(#REF!-#REF!)*(#REF!-#REF!),-1),"-")</f>
        <v>#REF!</v>
      </c>
      <c r="AI19" s="15" t="e">
        <f>IF(AA19=1,ROUND(#REF!+(AE19-#REF!)/(#REF!-#REF!)*(#REF!-#REF!),-1),"-")</f>
        <v>#REF!</v>
      </c>
      <c r="AK19" s="15" t="e">
        <f>MIN(#REF!)</f>
        <v>#REF!</v>
      </c>
    </row>
    <row r="20" spans="1:37" x14ac:dyDescent="0.25">
      <c r="A20" s="5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Y20" s="15" t="e">
        <f>IF(AND(#REF!&lt;#REF!,#REF!&gt;#REF!),1,0)</f>
        <v>#REF!</v>
      </c>
      <c r="Z20" s="15" t="e">
        <f>IF(AND(#REF!&lt;#REF!,#REF!&gt;#REF!),1,0)</f>
        <v>#REF!</v>
      </c>
      <c r="AA20" s="15" t="e">
        <f>IF(AND(#REF!&lt;#REF!,#REF!&gt;#REF!),1,0)</f>
        <v>#REF!</v>
      </c>
      <c r="AC20" s="15" t="e">
        <f>IF(Z20=1,#REF!+(#REF!-#REF!)*(#REF!-#REF!)/((#REF!-#REF!)+(#REF!-#REF!)),"-")</f>
        <v>#REF!</v>
      </c>
      <c r="AD20" s="15" t="e">
        <f>IF(Y20=1,#REF!+(#REF!-#REF!)*(#REF!-#REF!)/((#REF!-#REF!)+(#REF!-#REF!)),"-")</f>
        <v>#REF!</v>
      </c>
      <c r="AE20" s="15" t="e">
        <f>IF(AA20=1,#REF!+(#REF!-#REF!)*(#REF!-#REF!)/((#REF!-#REF!)+(#REF!-#REF!)),"-")</f>
        <v>#REF!</v>
      </c>
      <c r="AG20" s="15" t="e">
        <f>IF(Z20=1,ROUND(#REF!+(AC20-#REF!)/(#REF!-#REF!)*(#REF!-#REF!),-1),"-")</f>
        <v>#REF!</v>
      </c>
      <c r="AH20" s="15" t="e">
        <f>IF(Y20=1,ROUND(#REF!+(AD20-#REF!)/(#REF!-#REF!)*(#REF!-#REF!),-1),"-")</f>
        <v>#REF!</v>
      </c>
      <c r="AI20" s="15" t="e">
        <f>IF(AA20=1,ROUND(#REF!+(AE20-#REF!)/(#REF!-#REF!)*(#REF!-#REF!),-1),"-")</f>
        <v>#REF!</v>
      </c>
      <c r="AK20" s="15" t="e">
        <f>MIN(#REF!)</f>
        <v>#REF!</v>
      </c>
    </row>
    <row r="21" spans="1:37" x14ac:dyDescent="0.25">
      <c r="A21" s="5"/>
      <c r="B21" s="53" t="s">
        <v>17</v>
      </c>
      <c r="C21" s="54"/>
      <c r="D21" s="54"/>
      <c r="E21" s="54"/>
      <c r="F21" s="54"/>
      <c r="G21" s="54"/>
      <c r="H21" s="5"/>
      <c r="I21" s="5"/>
      <c r="J21" s="9"/>
      <c r="K21" s="9"/>
      <c r="L21" s="9"/>
      <c r="M21" s="9"/>
      <c r="N21" s="9"/>
      <c r="Y21" s="15" t="e">
        <f>IF(AND(#REF!&lt;#REF!,D22&gt;E22),1,0)</f>
        <v>#REF!</v>
      </c>
      <c r="Z21" s="15" t="e">
        <f>IF(AND(#REF!&lt;#REF!,D22&gt;G22),1,0)</f>
        <v>#REF!</v>
      </c>
      <c r="AA21" s="15" t="e">
        <f>IF(AND(#REF!&lt;#REF!,E22&gt;G22),1,0)</f>
        <v>#REF!</v>
      </c>
      <c r="AC21" s="15" t="e">
        <f>IF(Z21=1,#REF!+(G22-#REF!)*(#REF!-#REF!)/((D22-G22)+(#REF!-#REF!)),"-")</f>
        <v>#REF!</v>
      </c>
      <c r="AD21" s="15" t="e">
        <f>IF(Y21=1,#REF!+(E22-#REF!)*(#REF!-#REF!)/((D22-E22)+(#REF!-#REF!)),"-")</f>
        <v>#REF!</v>
      </c>
      <c r="AE21" s="15" t="e">
        <f>IF(AA21=1,#REF!+(G22-#REF!)*(#REF!-#REF!)/((E22-G22)+(#REF!-#REF!)),"-")</f>
        <v>#REF!</v>
      </c>
      <c r="AG21" s="15" t="e">
        <f>IF(Z21=1,ROUND(#REF!+(AC21-#REF!)/(D22-#REF!)*($B22-#REF!),-1),"-")</f>
        <v>#REF!</v>
      </c>
      <c r="AH21" s="15" t="e">
        <f>IF(Y21=1,ROUND(#REF!+(AD21-#REF!)/(E22-#REF!)*($B22-#REF!),-1),"-")</f>
        <v>#REF!</v>
      </c>
      <c r="AI21" s="15" t="e">
        <f>IF(AA21=1,ROUND(#REF!+(AE21-#REF!)/(G22-#REF!)*($B22-#REF!),-1),"-")</f>
        <v>#REF!</v>
      </c>
      <c r="AK21" s="15">
        <f>MIN(D21:G21)</f>
        <v>0</v>
      </c>
    </row>
    <row r="22" spans="1:37" x14ac:dyDescent="0.25">
      <c r="A22" s="5"/>
      <c r="B22" s="47" t="s">
        <v>8</v>
      </c>
      <c r="C22" s="47" t="s">
        <v>9</v>
      </c>
      <c r="D22" s="47" t="s">
        <v>9</v>
      </c>
      <c r="E22" s="47" t="s">
        <v>9</v>
      </c>
      <c r="F22" s="5"/>
      <c r="G22" s="47" t="s">
        <v>9</v>
      </c>
      <c r="H22" s="9"/>
      <c r="I22" s="9"/>
      <c r="J22" s="9"/>
      <c r="K22" s="9"/>
      <c r="L22" s="9"/>
      <c r="M22" s="9"/>
      <c r="N22" s="9"/>
      <c r="Y22" s="15">
        <f t="shared" ref="Y22:Y37" si="0">IF(AND(D22&lt;E22,D23&gt;E23),1,0)</f>
        <v>0</v>
      </c>
      <c r="Z22" s="15">
        <f t="shared" ref="Z22:Z37" si="1">IF(AND(D22&lt;G22,D23&gt;G23),1,0)</f>
        <v>0</v>
      </c>
      <c r="AA22" s="15">
        <f t="shared" ref="AA22:AA37" si="2">IF(AND(E22&lt;G22,E23&gt;G23),1,0)</f>
        <v>0</v>
      </c>
      <c r="AC22" s="15" t="str">
        <f t="shared" ref="AC22:AC37" si="3">IF(Z22=1,G22+(G23-G22)*(G22-D22)/((D23-G23)+(G22-D22)),"-")</f>
        <v>-</v>
      </c>
      <c r="AD22" s="15" t="str">
        <f t="shared" ref="AD22:AD37" si="4">IF(Y22=1,E22+(E23-E22)*(E22-D22)/((D23-E23)+(E22-D22)),"-")</f>
        <v>-</v>
      </c>
      <c r="AE22" s="15" t="str">
        <f t="shared" ref="AE22:AE37" si="5">IF(AA22=1,G22+(G23-G22)*(G22-E22)/((E23-G23)+(G22-E22)),"-")</f>
        <v>-</v>
      </c>
      <c r="AG22" s="15" t="str">
        <f t="shared" ref="AG22:AG37" si="6">IF(Z22=1,ROUND($B22+(AC22-D22)/(D23-D22)*($B23-$B22),-1),"-")</f>
        <v>-</v>
      </c>
      <c r="AH22" s="15" t="str">
        <f t="shared" ref="AH22:AH37" si="7">IF(Y22=1,ROUND($B22+(AD22-E22)/(E23-E22)*($B23-$B22),-1),"-")</f>
        <v>-</v>
      </c>
      <c r="AI22" s="15" t="str">
        <f t="shared" ref="AI22:AI37" si="8">IF(AA22=1,ROUND($B22+(AE22-G22)/(G23-G22)*($B23-$B22),-1),"-")</f>
        <v>-</v>
      </c>
      <c r="AK22" s="15">
        <f t="shared" ref="AK22:AK37" si="9">MIN(D22:G22)</f>
        <v>0</v>
      </c>
    </row>
    <row r="23" spans="1:37" x14ac:dyDescent="0.25">
      <c r="A23" s="5"/>
      <c r="B23" s="47" t="s">
        <v>7</v>
      </c>
      <c r="C23" s="47" t="s">
        <v>10</v>
      </c>
      <c r="D23" s="48" t="s">
        <v>32</v>
      </c>
      <c r="E23" s="47" t="s">
        <v>11</v>
      </c>
      <c r="F23" s="5"/>
      <c r="G23" s="48" t="s">
        <v>37</v>
      </c>
      <c r="H23" s="5"/>
      <c r="I23" s="5"/>
      <c r="J23" s="9"/>
      <c r="K23" s="9"/>
      <c r="L23" s="9"/>
      <c r="M23" s="9"/>
      <c r="N23" s="9"/>
      <c r="Y23" s="15">
        <f t="shared" si="0"/>
        <v>1</v>
      </c>
      <c r="Z23" s="15" t="e">
        <f>IF(AND(D23&lt;G23,D24&gt;#REF!),1,0)</f>
        <v>#REF!</v>
      </c>
      <c r="AA23" s="15" t="e">
        <f>IF(AND(E23&lt;G23,E24&gt;#REF!),1,0)</f>
        <v>#REF!</v>
      </c>
      <c r="AC23" s="15" t="e">
        <f>IF(Z23=1,G23+(#REF!-G23)*(G23-D23)/((D24-#REF!)+(G23-D23)),"-")</f>
        <v>#REF!</v>
      </c>
      <c r="AD23" s="15" t="e">
        <f t="shared" si="4"/>
        <v>#VALUE!</v>
      </c>
      <c r="AE23" s="15" t="e">
        <f>IF(AA23=1,G23+(#REF!-G23)*(G23-E23)/((E24-#REF!)+(G23-E23)),"-")</f>
        <v>#REF!</v>
      </c>
      <c r="AG23" s="15" t="e">
        <f t="shared" si="6"/>
        <v>#REF!</v>
      </c>
      <c r="AH23" s="15" t="e">
        <f t="shared" si="7"/>
        <v>#VALUE!</v>
      </c>
      <c r="AI23" s="15" t="e">
        <f>IF(AA23=1,ROUND($B23+(AE23-G23)/(#REF!-G23)*($B24-$B23),-1),"-")</f>
        <v>#REF!</v>
      </c>
      <c r="AK23" s="15">
        <f t="shared" si="9"/>
        <v>0</v>
      </c>
    </row>
    <row r="24" spans="1:37" x14ac:dyDescent="0.25">
      <c r="A24" s="5"/>
      <c r="B24" s="8" t="s">
        <v>5</v>
      </c>
      <c r="C24" s="11">
        <f>D8</f>
        <v>0.1</v>
      </c>
      <c r="D24" s="11">
        <f>D4</f>
        <v>8.0000000000000002E-3</v>
      </c>
      <c r="E24" s="11">
        <f>C24*D24</f>
        <v>8.0000000000000004E-4</v>
      </c>
      <c r="F24" s="10" t="s">
        <v>14</v>
      </c>
      <c r="G24" s="13">
        <f>E24/E$26</f>
        <v>8.6640097036908687E-4</v>
      </c>
      <c r="H24" s="9"/>
      <c r="I24" s="9"/>
      <c r="J24" s="9"/>
      <c r="K24" s="9"/>
      <c r="L24" s="9"/>
      <c r="M24" s="9"/>
      <c r="N24" s="9"/>
      <c r="Y24" s="15">
        <f t="shared" si="0"/>
        <v>0</v>
      </c>
      <c r="Z24" s="15" t="e">
        <f>IF(AND(D24&lt;#REF!,D25&gt;#REF!),1,0)</f>
        <v>#REF!</v>
      </c>
      <c r="AA24" s="15" t="e">
        <f>IF(AND(E24&lt;#REF!,E25&gt;#REF!),1,0)</f>
        <v>#REF!</v>
      </c>
      <c r="AC24" s="15" t="e">
        <f>IF(Z24=1,#REF!+(#REF!-#REF!)*(#REF!-D24)/((D25-#REF!)+(#REF!-D24)),"-")</f>
        <v>#REF!</v>
      </c>
      <c r="AD24" s="15" t="str">
        <f t="shared" si="4"/>
        <v>-</v>
      </c>
      <c r="AE24" s="15" t="e">
        <f>IF(AA24=1,#REF!+(#REF!-#REF!)*(#REF!-E24)/((E25-#REF!)+(#REF!-E24)),"-")</f>
        <v>#REF!</v>
      </c>
      <c r="AG24" s="15" t="e">
        <f t="shared" si="6"/>
        <v>#REF!</v>
      </c>
      <c r="AH24" s="15" t="str">
        <f t="shared" si="7"/>
        <v>-</v>
      </c>
      <c r="AI24" s="15" t="e">
        <f>IF(AA24=1,ROUND($B24+(AE24-#REF!)/(#REF!-#REF!)*($B25-$B24),-1),"-")</f>
        <v>#REF!</v>
      </c>
      <c r="AK24" s="15">
        <f>MIN(D24:G24)</f>
        <v>8.0000000000000004E-4</v>
      </c>
    </row>
    <row r="25" spans="1:37" x14ac:dyDescent="0.25">
      <c r="A25" s="5"/>
      <c r="B25" s="17" t="s">
        <v>6</v>
      </c>
      <c r="C25" s="11">
        <f>E8</f>
        <v>0.92999999999999994</v>
      </c>
      <c r="D25" s="11">
        <f>E4</f>
        <v>0.99199999999999999</v>
      </c>
      <c r="E25" s="11">
        <f>C25*D25</f>
        <v>0.92255999999999994</v>
      </c>
      <c r="F25" s="10" t="s">
        <v>15</v>
      </c>
      <c r="G25" s="13">
        <f>E25/E$26</f>
        <v>0.99913359902963084</v>
      </c>
      <c r="H25" s="5"/>
      <c r="I25" s="5"/>
      <c r="J25" s="9"/>
      <c r="K25" s="9"/>
      <c r="L25" s="9"/>
      <c r="M25" s="9"/>
      <c r="N25" s="9"/>
      <c r="Y25" s="15">
        <f t="shared" si="0"/>
        <v>0</v>
      </c>
      <c r="Z25" s="15" t="e">
        <f>IF(AND(D25&lt;#REF!,D26&gt;G26),1,0)</f>
        <v>#REF!</v>
      </c>
      <c r="AA25" s="15" t="e">
        <f>IF(AND(E25&lt;#REF!,E26&gt;G26),1,0)</f>
        <v>#REF!</v>
      </c>
      <c r="AC25" s="15" t="e">
        <f>IF(Z25=1,#REF!+(G26-#REF!)*(#REF!-D25)/((D26-G26)+(#REF!-D25)),"-")</f>
        <v>#REF!</v>
      </c>
      <c r="AD25" s="15" t="str">
        <f t="shared" si="4"/>
        <v>-</v>
      </c>
      <c r="AE25" s="15" t="e">
        <f>IF(AA25=1,#REF!+(G26-#REF!)*(#REF!-E25)/((E26-G26)+(#REF!-E25)),"-")</f>
        <v>#REF!</v>
      </c>
      <c r="AG25" s="15" t="e">
        <f t="shared" si="6"/>
        <v>#REF!</v>
      </c>
      <c r="AH25" s="15" t="str">
        <f t="shared" si="7"/>
        <v>-</v>
      </c>
      <c r="AI25" s="15" t="e">
        <f>IF(AA25=1,ROUND($B25+(AE25-#REF!)/(G26-#REF!)*($B26-$B25),-1),"-")</f>
        <v>#REF!</v>
      </c>
      <c r="AK25" s="15">
        <f>MIN(D25:G25)</f>
        <v>0.92255999999999994</v>
      </c>
    </row>
    <row r="26" spans="1:37" x14ac:dyDescent="0.25">
      <c r="A26" s="5"/>
      <c r="B26" s="9"/>
      <c r="C26" s="9"/>
      <c r="D26" s="11">
        <f>SUM(D24:D25)</f>
        <v>1</v>
      </c>
      <c r="E26" s="49">
        <f>SUM(E24:E25)</f>
        <v>0.92335999999999996</v>
      </c>
      <c r="F26" s="9"/>
      <c r="G26" s="11">
        <f>SUM(G24:G25)</f>
        <v>0.99999999999999989</v>
      </c>
      <c r="H26" s="9"/>
      <c r="I26" s="9"/>
      <c r="J26" s="9"/>
      <c r="K26" s="9"/>
      <c r="L26" s="9"/>
      <c r="M26" s="9"/>
      <c r="N26" s="9"/>
      <c r="Y26" s="15">
        <f t="shared" si="0"/>
        <v>0</v>
      </c>
      <c r="Z26" s="15">
        <f t="shared" si="1"/>
        <v>0</v>
      </c>
      <c r="AA26" s="15">
        <f t="shared" si="2"/>
        <v>0</v>
      </c>
      <c r="AC26" s="15" t="str">
        <f t="shared" si="3"/>
        <v>-</v>
      </c>
      <c r="AD26" s="15" t="str">
        <f t="shared" si="4"/>
        <v>-</v>
      </c>
      <c r="AE26" s="15" t="str">
        <f t="shared" si="5"/>
        <v>-</v>
      </c>
      <c r="AG26" s="15" t="str">
        <f t="shared" si="6"/>
        <v>-</v>
      </c>
      <c r="AH26" s="15" t="str">
        <f t="shared" si="7"/>
        <v>-</v>
      </c>
      <c r="AI26" s="15" t="str">
        <f t="shared" si="8"/>
        <v>-</v>
      </c>
      <c r="AK26" s="15">
        <f t="shared" si="9"/>
        <v>0.92335999999999996</v>
      </c>
    </row>
    <row r="27" spans="1:37" x14ac:dyDescent="0.25">
      <c r="A27" s="5"/>
      <c r="B27" s="5"/>
      <c r="C27" s="5"/>
      <c r="D27" s="5"/>
      <c r="E27" s="5"/>
      <c r="F27" s="5"/>
      <c r="G27" s="5"/>
      <c r="H27" s="5"/>
      <c r="I27" s="5"/>
      <c r="J27" s="9"/>
      <c r="K27" s="9"/>
      <c r="L27" s="9"/>
      <c r="M27" s="9"/>
      <c r="N27" s="9"/>
      <c r="Y27" s="15">
        <f t="shared" si="0"/>
        <v>0</v>
      </c>
      <c r="Z27" s="15" t="e">
        <f>IF(AND(D27&lt;G27,D28&gt;#REF!),1,0)</f>
        <v>#REF!</v>
      </c>
      <c r="AA27" s="15" t="e">
        <f>IF(AND(E27&lt;G27,E28&gt;#REF!),1,0)</f>
        <v>#REF!</v>
      </c>
      <c r="AC27" s="15" t="e">
        <f>IF(Z27=1,G27+(#REF!-G27)*(G27-D27)/((D28-#REF!)+(G27-D27)),"-")</f>
        <v>#REF!</v>
      </c>
      <c r="AD27" s="15" t="str">
        <f t="shared" si="4"/>
        <v>-</v>
      </c>
      <c r="AE27" s="15" t="e">
        <f>IF(AA27=1,G27+(#REF!-G27)*(G27-E27)/((E28-#REF!)+(G27-E27)),"-")</f>
        <v>#REF!</v>
      </c>
      <c r="AG27" s="15" t="e">
        <f t="shared" si="6"/>
        <v>#REF!</v>
      </c>
      <c r="AH27" s="15" t="str">
        <f t="shared" si="7"/>
        <v>-</v>
      </c>
      <c r="AI27" s="15" t="e">
        <f>IF(AA27=1,ROUND($B27+(AE27-G27)/(#REF!-G27)*($B28-$B27),-1),"-")</f>
        <v>#REF!</v>
      </c>
      <c r="AK27" s="15">
        <f t="shared" si="9"/>
        <v>0</v>
      </c>
    </row>
    <row r="28" spans="1:37" x14ac:dyDescent="0.25">
      <c r="A28" s="5"/>
      <c r="B28" s="9"/>
      <c r="C28" s="9"/>
      <c r="D28" s="9"/>
      <c r="E28" s="9"/>
      <c r="F28" s="9"/>
      <c r="G28" s="25" t="s">
        <v>25</v>
      </c>
      <c r="H28" s="9"/>
      <c r="I28" s="9"/>
      <c r="J28" s="9"/>
      <c r="K28" s="9"/>
      <c r="L28" s="9"/>
      <c r="M28" s="9"/>
      <c r="N28" s="9"/>
      <c r="Y28" s="15">
        <f t="shared" si="0"/>
        <v>0</v>
      </c>
      <c r="Z28" s="15" t="e">
        <f>IF(AND(D28&lt;#REF!,D29&gt;G29),1,0)</f>
        <v>#REF!</v>
      </c>
      <c r="AA28" s="15" t="e">
        <f>IF(AND(E28&lt;#REF!,E29&gt;G29),1,0)</f>
        <v>#REF!</v>
      </c>
      <c r="AC28" s="15" t="e">
        <f>IF(Z28=1,#REF!+(G29-#REF!)*(#REF!-D28)/((D29-G29)+(#REF!-D28)),"-")</f>
        <v>#REF!</v>
      </c>
      <c r="AD28" s="15" t="str">
        <f t="shared" si="4"/>
        <v>-</v>
      </c>
      <c r="AE28" s="15" t="e">
        <f>IF(AA28=1,#REF!+(G29-#REF!)*(#REF!-E28)/((E29-G29)+(#REF!-E28)),"-")</f>
        <v>#REF!</v>
      </c>
      <c r="AG28" s="15" t="e">
        <f t="shared" si="6"/>
        <v>#REF!</v>
      </c>
      <c r="AH28" s="15" t="str">
        <f t="shared" si="7"/>
        <v>-</v>
      </c>
      <c r="AI28" s="15" t="e">
        <f>IF(AA28=1,ROUND($B28+(AE28-#REF!)/(G29-#REF!)*($B29-$B28),-1),"-")</f>
        <v>#REF!</v>
      </c>
      <c r="AK28" s="15">
        <f>MIN(D28:G28)</f>
        <v>0</v>
      </c>
    </row>
    <row r="29" spans="1:37" x14ac:dyDescent="0.25">
      <c r="A29" s="5"/>
      <c r="B29" s="5"/>
      <c r="C29" s="5"/>
      <c r="D29" s="5"/>
      <c r="E29" s="5"/>
      <c r="F29" s="5"/>
      <c r="G29" s="25" t="s">
        <v>26</v>
      </c>
      <c r="H29" s="5"/>
      <c r="I29" s="5"/>
      <c r="J29" s="9"/>
      <c r="K29" s="9"/>
      <c r="L29" s="9"/>
      <c r="M29" s="9"/>
      <c r="N29" s="9"/>
      <c r="Y29" s="15">
        <f t="shared" si="0"/>
        <v>0</v>
      </c>
      <c r="Z29" s="15">
        <f t="shared" si="1"/>
        <v>0</v>
      </c>
      <c r="AA29" s="15">
        <f t="shared" si="2"/>
        <v>0</v>
      </c>
      <c r="AC29" s="15" t="str">
        <f t="shared" si="3"/>
        <v>-</v>
      </c>
      <c r="AD29" s="15" t="str">
        <f t="shared" si="4"/>
        <v>-</v>
      </c>
      <c r="AE29" s="15" t="str">
        <f t="shared" si="5"/>
        <v>-</v>
      </c>
      <c r="AG29" s="15" t="str">
        <f t="shared" si="6"/>
        <v>-</v>
      </c>
      <c r="AH29" s="15" t="str">
        <f t="shared" si="7"/>
        <v>-</v>
      </c>
      <c r="AI29" s="15" t="str">
        <f t="shared" si="8"/>
        <v>-</v>
      </c>
      <c r="AK29" s="15">
        <f t="shared" si="9"/>
        <v>0</v>
      </c>
    </row>
    <row r="30" spans="1:37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Y30" s="15">
        <f t="shared" si="0"/>
        <v>0</v>
      </c>
      <c r="Z30" s="15">
        <f t="shared" si="1"/>
        <v>0</v>
      </c>
      <c r="AA30" s="15">
        <f t="shared" si="2"/>
        <v>0</v>
      </c>
      <c r="AC30" s="15" t="str">
        <f t="shared" si="3"/>
        <v>-</v>
      </c>
      <c r="AD30" s="15" t="str">
        <f t="shared" si="4"/>
        <v>-</v>
      </c>
      <c r="AE30" s="15" t="str">
        <f t="shared" si="5"/>
        <v>-</v>
      </c>
      <c r="AG30" s="15" t="str">
        <f t="shared" si="6"/>
        <v>-</v>
      </c>
      <c r="AH30" s="15" t="str">
        <f t="shared" si="7"/>
        <v>-</v>
      </c>
      <c r="AI30" s="15" t="str">
        <f t="shared" si="8"/>
        <v>-</v>
      </c>
      <c r="AK30" s="15">
        <f t="shared" si="9"/>
        <v>0</v>
      </c>
    </row>
    <row r="31" spans="1:37" x14ac:dyDescent="0.25">
      <c r="A31" s="5"/>
      <c r="B31" s="5"/>
      <c r="C31" s="5"/>
      <c r="D31" s="5"/>
      <c r="E31" s="5"/>
      <c r="F31" s="5"/>
      <c r="G31" s="5"/>
      <c r="H31" s="5"/>
      <c r="I31" s="5"/>
      <c r="J31" s="9"/>
      <c r="K31" s="9"/>
      <c r="L31" s="9"/>
      <c r="M31" s="9"/>
      <c r="N31" s="9"/>
      <c r="Y31" s="15">
        <f t="shared" si="0"/>
        <v>0</v>
      </c>
      <c r="Z31" s="15">
        <f t="shared" si="1"/>
        <v>0</v>
      </c>
      <c r="AA31" s="15">
        <f t="shared" si="2"/>
        <v>0</v>
      </c>
      <c r="AC31" s="15" t="str">
        <f t="shared" si="3"/>
        <v>-</v>
      </c>
      <c r="AD31" s="15" t="str">
        <f t="shared" si="4"/>
        <v>-</v>
      </c>
      <c r="AE31" s="15" t="str">
        <f t="shared" si="5"/>
        <v>-</v>
      </c>
      <c r="AG31" s="15" t="str">
        <f t="shared" si="6"/>
        <v>-</v>
      </c>
      <c r="AH31" s="15" t="str">
        <f t="shared" si="7"/>
        <v>-</v>
      </c>
      <c r="AI31" s="15" t="str">
        <f t="shared" si="8"/>
        <v>-</v>
      </c>
      <c r="AK31" s="15">
        <f t="shared" si="9"/>
        <v>0</v>
      </c>
    </row>
    <row r="32" spans="1:37" x14ac:dyDescent="0.25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15">
        <f t="shared" si="0"/>
        <v>0</v>
      </c>
      <c r="Z32" s="15">
        <f t="shared" si="1"/>
        <v>0</v>
      </c>
      <c r="AA32" s="15">
        <f t="shared" si="2"/>
        <v>0</v>
      </c>
      <c r="AC32" s="15" t="str">
        <f t="shared" si="3"/>
        <v>-</v>
      </c>
      <c r="AD32" s="15" t="str">
        <f t="shared" si="4"/>
        <v>-</v>
      </c>
      <c r="AE32" s="15" t="str">
        <f t="shared" si="5"/>
        <v>-</v>
      </c>
      <c r="AG32" s="15" t="str">
        <f t="shared" si="6"/>
        <v>-</v>
      </c>
      <c r="AH32" s="15" t="str">
        <f t="shared" si="7"/>
        <v>-</v>
      </c>
      <c r="AI32" s="15" t="str">
        <f t="shared" si="8"/>
        <v>-</v>
      </c>
      <c r="AK32" s="15">
        <f t="shared" si="9"/>
        <v>0</v>
      </c>
    </row>
    <row r="33" spans="1:37" x14ac:dyDescent="0.25">
      <c r="A33" s="5"/>
      <c r="B33" s="5"/>
      <c r="C33" s="5"/>
      <c r="D33" s="5"/>
      <c r="E33" s="5"/>
      <c r="F33" s="5"/>
      <c r="G33" s="5"/>
      <c r="H33" s="5"/>
      <c r="I33" s="5"/>
      <c r="J33" s="9"/>
      <c r="K33" s="9"/>
      <c r="L33" s="9"/>
      <c r="M33" s="9"/>
      <c r="N33" s="9"/>
      <c r="Y33" s="15">
        <f t="shared" si="0"/>
        <v>0</v>
      </c>
      <c r="Z33" s="15">
        <f t="shared" si="1"/>
        <v>0</v>
      </c>
      <c r="AA33" s="15">
        <f t="shared" si="2"/>
        <v>0</v>
      </c>
      <c r="AC33" s="15" t="str">
        <f t="shared" si="3"/>
        <v>-</v>
      </c>
      <c r="AD33" s="15" t="str">
        <f t="shared" si="4"/>
        <v>-</v>
      </c>
      <c r="AE33" s="15" t="str">
        <f t="shared" si="5"/>
        <v>-</v>
      </c>
      <c r="AG33" s="15" t="str">
        <f t="shared" si="6"/>
        <v>-</v>
      </c>
      <c r="AH33" s="15" t="str">
        <f t="shared" si="7"/>
        <v>-</v>
      </c>
      <c r="AI33" s="15" t="str">
        <f t="shared" si="8"/>
        <v>-</v>
      </c>
      <c r="AK33" s="15">
        <f t="shared" si="9"/>
        <v>0</v>
      </c>
    </row>
    <row r="34" spans="1:37" x14ac:dyDescent="0.2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Y34" s="15">
        <f t="shared" si="0"/>
        <v>0</v>
      </c>
      <c r="Z34" s="15">
        <f t="shared" si="1"/>
        <v>0</v>
      </c>
      <c r="AA34" s="15">
        <f t="shared" si="2"/>
        <v>0</v>
      </c>
      <c r="AC34" s="15" t="str">
        <f t="shared" si="3"/>
        <v>-</v>
      </c>
      <c r="AD34" s="15" t="str">
        <f t="shared" si="4"/>
        <v>-</v>
      </c>
      <c r="AE34" s="15" t="str">
        <f t="shared" si="5"/>
        <v>-</v>
      </c>
      <c r="AG34" s="15" t="str">
        <f t="shared" si="6"/>
        <v>-</v>
      </c>
      <c r="AH34" s="15" t="str">
        <f t="shared" si="7"/>
        <v>-</v>
      </c>
      <c r="AI34" s="15" t="str">
        <f t="shared" si="8"/>
        <v>-</v>
      </c>
      <c r="AK34" s="15">
        <f t="shared" si="9"/>
        <v>0</v>
      </c>
    </row>
    <row r="35" spans="1:37" x14ac:dyDescent="0.25">
      <c r="A35" s="5"/>
      <c r="B35" s="5"/>
      <c r="C35" s="5"/>
      <c r="D35" s="5"/>
      <c r="E35" s="5"/>
      <c r="F35" s="5"/>
      <c r="G35" s="5"/>
      <c r="H35" s="5"/>
      <c r="I35" s="5"/>
      <c r="J35" s="9"/>
      <c r="K35" s="9"/>
      <c r="L35" s="9"/>
      <c r="M35" s="9"/>
      <c r="N35" s="9"/>
      <c r="Y35" s="15">
        <f t="shared" si="0"/>
        <v>0</v>
      </c>
      <c r="Z35" s="15">
        <f t="shared" si="1"/>
        <v>0</v>
      </c>
      <c r="AA35" s="15">
        <f t="shared" si="2"/>
        <v>0</v>
      </c>
      <c r="AC35" s="15" t="str">
        <f t="shared" si="3"/>
        <v>-</v>
      </c>
      <c r="AD35" s="15" t="str">
        <f t="shared" si="4"/>
        <v>-</v>
      </c>
      <c r="AE35" s="15" t="str">
        <f t="shared" si="5"/>
        <v>-</v>
      </c>
      <c r="AG35" s="15" t="str">
        <f t="shared" si="6"/>
        <v>-</v>
      </c>
      <c r="AH35" s="15" t="str">
        <f t="shared" si="7"/>
        <v>-</v>
      </c>
      <c r="AI35" s="15" t="str">
        <f t="shared" si="8"/>
        <v>-</v>
      </c>
      <c r="AK35" s="15">
        <f t="shared" si="9"/>
        <v>0</v>
      </c>
    </row>
    <row r="36" spans="1:37" x14ac:dyDescent="0.25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Y36" s="15">
        <f t="shared" si="0"/>
        <v>0</v>
      </c>
      <c r="Z36" s="15">
        <f t="shared" si="1"/>
        <v>0</v>
      </c>
      <c r="AA36" s="15">
        <f t="shared" si="2"/>
        <v>0</v>
      </c>
      <c r="AC36" s="15" t="str">
        <f t="shared" si="3"/>
        <v>-</v>
      </c>
      <c r="AD36" s="15" t="str">
        <f t="shared" si="4"/>
        <v>-</v>
      </c>
      <c r="AE36" s="15" t="str">
        <f t="shared" si="5"/>
        <v>-</v>
      </c>
      <c r="AG36" s="15" t="str">
        <f t="shared" si="6"/>
        <v>-</v>
      </c>
      <c r="AH36" s="15" t="str">
        <f t="shared" si="7"/>
        <v>-</v>
      </c>
      <c r="AI36" s="15" t="str">
        <f t="shared" si="8"/>
        <v>-</v>
      </c>
      <c r="AK36" s="15">
        <f t="shared" si="9"/>
        <v>0</v>
      </c>
    </row>
    <row r="37" spans="1:37" x14ac:dyDescent="0.25">
      <c r="A37" s="5"/>
      <c r="B37" s="5"/>
      <c r="C37" s="5"/>
      <c r="D37" s="5"/>
      <c r="E37" s="5"/>
      <c r="F37" s="5"/>
      <c r="G37" s="5"/>
      <c r="H37" s="5"/>
      <c r="I37" s="5"/>
      <c r="J37" s="9"/>
      <c r="K37" s="9"/>
      <c r="L37" s="9"/>
      <c r="M37" s="9"/>
      <c r="N37" s="9"/>
      <c r="Y37" s="15">
        <f t="shared" si="0"/>
        <v>0</v>
      </c>
      <c r="Z37" s="15">
        <f t="shared" si="1"/>
        <v>0</v>
      </c>
      <c r="AA37" s="15">
        <f t="shared" si="2"/>
        <v>0</v>
      </c>
      <c r="AC37" s="15" t="str">
        <f t="shared" si="3"/>
        <v>-</v>
      </c>
      <c r="AD37" s="15" t="str">
        <f t="shared" si="4"/>
        <v>-</v>
      </c>
      <c r="AE37" s="15" t="str">
        <f t="shared" si="5"/>
        <v>-</v>
      </c>
      <c r="AG37" s="15" t="str">
        <f t="shared" si="6"/>
        <v>-</v>
      </c>
      <c r="AH37" s="15" t="str">
        <f t="shared" si="7"/>
        <v>-</v>
      </c>
      <c r="AI37" s="15" t="str">
        <f t="shared" si="8"/>
        <v>-</v>
      </c>
      <c r="AK37" s="15">
        <f t="shared" si="9"/>
        <v>0</v>
      </c>
    </row>
    <row r="38" spans="1:37" x14ac:dyDescent="0.25">
      <c r="A38" s="5"/>
      <c r="B38" s="16"/>
      <c r="C38" s="16"/>
      <c r="D38" s="16"/>
      <c r="E38" s="16"/>
      <c r="F38" s="16"/>
      <c r="G38" s="16"/>
      <c r="H38" s="10"/>
      <c r="I38" s="9"/>
      <c r="J38" s="9"/>
      <c r="K38" s="9"/>
      <c r="L38" s="9"/>
      <c r="M38" s="9"/>
      <c r="N38" s="9"/>
    </row>
    <row r="39" spans="1:37" ht="143.2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mergeCells count="12">
    <mergeCell ref="D2:E2"/>
    <mergeCell ref="B14:G14"/>
    <mergeCell ref="B21:G21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0" type="noConversion"/>
  <conditionalFormatting sqref="D19 D26">
    <cfRule type="cellIs" dxfId="0" priority="1" stopIfTrue="1" operator="notEqual">
      <formula>1</formula>
    </cfRule>
  </conditionalFormatting>
  <pageMargins left="0.75" right="0.75" top="1" bottom="1" header="0.5" footer="0.5"/>
  <pageSetup paperSize="9" orientation="portrait" horizontalDpi="300" verticalDpi="300" copies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zoomScale="170" zoomScaleNormal="170" workbookViewId="0"/>
  </sheetViews>
  <sheetFormatPr defaultColWidth="9.109375" defaultRowHeight="13.2" x14ac:dyDescent="0.25"/>
  <cols>
    <col min="1" max="1" width="23.33203125" style="22" customWidth="1"/>
    <col min="2" max="16384" width="9.109375" style="22"/>
  </cols>
  <sheetData>
    <row r="2" spans="2:9" x14ac:dyDescent="0.25">
      <c r="B2" s="21" t="s">
        <v>27</v>
      </c>
    </row>
    <row r="4" spans="2:9" x14ac:dyDescent="0.25">
      <c r="B4" s="1"/>
      <c r="C4" s="1"/>
      <c r="D4" s="1"/>
      <c r="E4" s="1"/>
      <c r="F4" s="1"/>
      <c r="G4" s="1"/>
      <c r="H4" s="1"/>
    </row>
    <row r="5" spans="2:9" x14ac:dyDescent="0.25">
      <c r="B5" s="1"/>
      <c r="C5" s="1"/>
      <c r="D5" s="2"/>
      <c r="E5" s="18">
        <v>1000</v>
      </c>
      <c r="F5" s="2"/>
      <c r="G5" s="2"/>
      <c r="H5" s="1"/>
    </row>
    <row r="6" spans="2:9" x14ac:dyDescent="0.25">
      <c r="B6" s="1"/>
      <c r="C6" s="18">
        <f>'Solução Bayesiana'!D4*'Solução Freq. naturais'!E5</f>
        <v>8</v>
      </c>
      <c r="D6" s="2"/>
      <c r="E6" s="2"/>
      <c r="F6" s="2"/>
      <c r="G6" s="18">
        <f>E5-C6</f>
        <v>992</v>
      </c>
      <c r="H6" s="1"/>
    </row>
    <row r="7" spans="2:9" x14ac:dyDescent="0.25">
      <c r="B7" s="2" t="s">
        <v>19</v>
      </c>
      <c r="C7" s="1"/>
      <c r="D7" s="2" t="s">
        <v>20</v>
      </c>
      <c r="E7" s="2"/>
      <c r="F7" s="2" t="s">
        <v>19</v>
      </c>
      <c r="G7" s="2"/>
      <c r="H7" s="2" t="s">
        <v>20</v>
      </c>
    </row>
    <row r="8" spans="2:9" x14ac:dyDescent="0.25">
      <c r="B8" s="18">
        <f>'Solução Bayesiana'!D7*C6</f>
        <v>7.2</v>
      </c>
      <c r="C8" s="2"/>
      <c r="D8" s="18">
        <f>'Solução Bayesiana'!D8*C6</f>
        <v>0.8</v>
      </c>
      <c r="E8" s="2"/>
      <c r="F8" s="18">
        <f>'Solução Bayesiana'!E7*G6</f>
        <v>69.440000000000012</v>
      </c>
      <c r="G8" s="2"/>
      <c r="H8" s="18">
        <f>'Solução Bayesiana'!E8*G6</f>
        <v>922.56</v>
      </c>
    </row>
    <row r="9" spans="2:9" x14ac:dyDescent="0.25">
      <c r="D9" s="46" t="s">
        <v>33</v>
      </c>
      <c r="F9" s="46" t="s">
        <v>34</v>
      </c>
    </row>
    <row r="10" spans="2:9" x14ac:dyDescent="0.25">
      <c r="B10" s="1"/>
      <c r="C10" s="1"/>
      <c r="D10" s="2"/>
      <c r="E10" s="2"/>
      <c r="F10" s="2"/>
      <c r="G10" s="2"/>
      <c r="H10" s="1"/>
    </row>
    <row r="11" spans="2:9" x14ac:dyDescent="0.25">
      <c r="B11" s="19"/>
      <c r="C11" s="1"/>
    </row>
    <row r="12" spans="2:9" x14ac:dyDescent="0.25">
      <c r="B12" s="19"/>
      <c r="C12" s="1"/>
      <c r="D12" s="19" t="s">
        <v>21</v>
      </c>
      <c r="E12" s="20">
        <f>B8/(B8+F8)</f>
        <v>9.3945720250521905E-2</v>
      </c>
      <c r="F12" s="1" t="s">
        <v>30</v>
      </c>
      <c r="G12" s="1"/>
      <c r="H12" s="1"/>
    </row>
    <row r="13" spans="2:9" x14ac:dyDescent="0.25">
      <c r="B13" s="19"/>
      <c r="C13" s="19"/>
      <c r="D13" s="19" t="s">
        <v>21</v>
      </c>
      <c r="E13" s="20">
        <f>D8/(D8+H8)</f>
        <v>8.6640097036908698E-4</v>
      </c>
      <c r="F13" s="1" t="s">
        <v>31</v>
      </c>
      <c r="G13" s="1"/>
      <c r="H13" s="1"/>
      <c r="I13" s="19"/>
    </row>
    <row r="14" spans="2:9" x14ac:dyDescent="0.25">
      <c r="B14" s="19"/>
      <c r="C14" s="19"/>
      <c r="D14" s="19"/>
      <c r="E14" s="19"/>
      <c r="F14" s="19"/>
      <c r="G14" s="19"/>
      <c r="H14" s="19"/>
      <c r="I14" s="19"/>
    </row>
    <row r="15" spans="2:9" x14ac:dyDescent="0.25">
      <c r="B15" s="19"/>
      <c r="C15" s="19"/>
      <c r="D15" s="19"/>
      <c r="E15" s="24" t="s">
        <v>24</v>
      </c>
      <c r="F15" s="19"/>
      <c r="G15" s="19"/>
      <c r="H15" s="19"/>
      <c r="I15" s="19"/>
    </row>
  </sheetData>
  <phoneticPr fontId="1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Solução Bayesiana</vt:lpstr>
      <vt:lpstr>Solução Freq. naturais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1999-02-03T09:37:56Z</dcterms:created>
  <dcterms:modified xsi:type="dcterms:W3CDTF">2015-02-01T19:19:26Z</dcterms:modified>
</cp:coreProperties>
</file>